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6F4B5193-4CB9-457F-B305-FFA8CB27B462}" xr6:coauthVersionLast="47" xr6:coauthVersionMax="47" xr10:uidLastSave="{00000000-0000-0000-0000-000000000000}"/>
  <bookViews>
    <workbookView xWindow="-120" yWindow="-120" windowWidth="29040" windowHeight="15840" xr2:uid="{E73A2941-50B0-4BA4-9DAF-75191CB11AA9}"/>
  </bookViews>
  <sheets>
    <sheet name="EFE-Flujo de Efectivo" sheetId="2" r:id="rId1"/>
    <sheet name="ECANP-Cambio Patrimonio" sheetId="3" r:id="rId2"/>
    <sheet name=" ERF-Rendimiento Financiero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 ERF-Rendimiento Financiero'!$A$5:$K$37</definedName>
    <definedName name="_xlnm._FilterDatabase" localSheetId="1" hidden="1">'ECANP-Cambio Patrimonio'!$C$7:$I$23</definedName>
    <definedName name="_xlnm._FilterDatabase" localSheetId="0" hidden="1">'EFE-Flujo de Efectivo'!$A$5:$H$66</definedName>
    <definedName name="_xlnm.Print_Area" localSheetId="2">' ERF-Rendimiento Financiero'!$C$1:$H$49</definedName>
    <definedName name="_xlnm.Print_Area" localSheetId="1">'ECANP-Cambio Patrimonio'!$A$1:$I$31</definedName>
    <definedName name="_xlnm.Print_Area" localSheetId="0">'EFE-Flujo de Efectivo'!$A$1:$J$73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H34" i="4"/>
  <c r="F34" i="4"/>
  <c r="K33" i="4"/>
  <c r="K32" i="4"/>
  <c r="K31" i="4"/>
  <c r="K27" i="4"/>
  <c r="K26" i="4"/>
  <c r="K25" i="4"/>
  <c r="K24" i="4"/>
  <c r="H22" i="4"/>
  <c r="K22" i="4" s="1"/>
  <c r="F22" i="4"/>
  <c r="H21" i="4"/>
  <c r="F21" i="4"/>
  <c r="K21" i="4" s="1"/>
  <c r="H20" i="4"/>
  <c r="K20" i="4" s="1"/>
  <c r="H19" i="4"/>
  <c r="K19" i="4" s="1"/>
  <c r="F19" i="4"/>
  <c r="F18" i="4"/>
  <c r="H17" i="4"/>
  <c r="K17" i="4" s="1"/>
  <c r="F17" i="4"/>
  <c r="H16" i="4"/>
  <c r="F16" i="4"/>
  <c r="K16" i="4" s="1"/>
  <c r="H15" i="4"/>
  <c r="H23" i="4" s="1"/>
  <c r="F15" i="4"/>
  <c r="K15" i="4" s="1"/>
  <c r="H11" i="4"/>
  <c r="K11" i="4" s="1"/>
  <c r="F11" i="4"/>
  <c r="F10" i="4"/>
  <c r="H9" i="4"/>
  <c r="K9" i="4" s="1"/>
  <c r="F9" i="4"/>
  <c r="H8" i="4"/>
  <c r="F8" i="4"/>
  <c r="F12" i="4" s="1"/>
  <c r="H7" i="4"/>
  <c r="H12" i="4" s="1"/>
  <c r="H29" i="4" s="1"/>
  <c r="F7" i="4"/>
  <c r="K7" i="4" s="1"/>
  <c r="H5" i="4"/>
  <c r="C3" i="4"/>
  <c r="C1" i="4"/>
  <c r="H19" i="3"/>
  <c r="G19" i="3"/>
  <c r="H17" i="3"/>
  <c r="H16" i="3"/>
  <c r="H15" i="3"/>
  <c r="G13" i="3"/>
  <c r="G20" i="3" s="1"/>
  <c r="F13" i="3"/>
  <c r="F20" i="3" s="1"/>
  <c r="E13" i="3"/>
  <c r="E20" i="3" s="1"/>
  <c r="D13" i="3"/>
  <c r="D14" i="3" s="1"/>
  <c r="H12" i="3"/>
  <c r="H13" i="3" s="1"/>
  <c r="H20" i="3" s="1"/>
  <c r="H9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J61" i="2" s="1"/>
  <c r="J63" i="2" s="1"/>
  <c r="M66" i="2" s="1"/>
  <c r="I44" i="2"/>
  <c r="G44" i="2"/>
  <c r="F44" i="2"/>
  <c r="F61" i="2" s="1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G26" i="2"/>
  <c r="G61" i="2" s="1"/>
  <c r="F26" i="2"/>
  <c r="H23" i="2"/>
  <c r="H22" i="2"/>
  <c r="H21" i="2"/>
  <c r="M20" i="2"/>
  <c r="H20" i="2"/>
  <c r="C20" i="2"/>
  <c r="C19" i="2"/>
  <c r="H19" i="2" s="1"/>
  <c r="M18" i="2"/>
  <c r="C18" i="2"/>
  <c r="H18" i="2" s="1"/>
  <c r="M17" i="2"/>
  <c r="O13" i="2" s="1"/>
  <c r="O14" i="2" s="1"/>
  <c r="H17" i="2"/>
  <c r="C17" i="2"/>
  <c r="C16" i="2"/>
  <c r="H16" i="2" s="1"/>
  <c r="M14" i="2"/>
  <c r="E14" i="2"/>
  <c r="C14" i="2"/>
  <c r="H14" i="2" s="1"/>
  <c r="H13" i="2"/>
  <c r="H12" i="2"/>
  <c r="H11" i="2"/>
  <c r="O10" i="2"/>
  <c r="I10" i="2"/>
  <c r="H10" i="2"/>
  <c r="E10" i="2"/>
  <c r="C10" i="2"/>
  <c r="M10" i="2" s="1"/>
  <c r="I9" i="2"/>
  <c r="M9" i="2" s="1"/>
  <c r="E9" i="2"/>
  <c r="E26" i="2" s="1"/>
  <c r="E61" i="2" s="1"/>
  <c r="E63" i="2" s="1"/>
  <c r="C9" i="2"/>
  <c r="H9" i="2" s="1"/>
  <c r="H8" i="2"/>
  <c r="H7" i="2"/>
  <c r="E5" i="2"/>
  <c r="A3" i="2"/>
  <c r="A1" i="2"/>
  <c r="F29" i="4" l="1"/>
  <c r="K29" i="4" s="1"/>
  <c r="K12" i="4"/>
  <c r="K8" i="4"/>
  <c r="F23" i="4"/>
  <c r="K23" i="4" s="1"/>
  <c r="H14" i="3"/>
  <c r="D20" i="3"/>
  <c r="H26" i="2"/>
  <c r="G63" i="2"/>
  <c r="H56" i="2" s="1"/>
  <c r="H54" i="2"/>
  <c r="O56" i="2"/>
  <c r="O48" i="2"/>
  <c r="H59" i="2"/>
  <c r="C44" i="2"/>
  <c r="C26" i="2"/>
  <c r="C61" i="2" s="1"/>
  <c r="I26" i="2"/>
  <c r="I61" i="2" s="1"/>
  <c r="I63" i="2" s="1"/>
  <c r="C63" i="2" l="1"/>
  <c r="H61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tc={83521481-0BB3-4E07-A8D2-D61472F110B9}</author>
  </authors>
  <commentList>
    <comment ref="J19" authorId="0" shapeId="0" xr:uid="{83521481-0BB3-4E07-A8D2-D61472F110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<sst xmlns="http://schemas.openxmlformats.org/spreadsheetml/2006/main" count="131" uniqueCount="112">
  <si>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</si>
  <si>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</si>
  <si>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</si>
  <si>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</si>
  <si>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</si>
  <si>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</si>
  <si>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30 de junio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</si>
  <si>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</si>
  <si>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</si>
  <si>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</si>
  <si>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</si>
  <si>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</si>
  <si>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</si>
  <si>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</si>
  <si>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</si>
  <si>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</si>
  <si>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</si>
  <si>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</si>
  <si>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</si>
  <si>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</si>
  <si>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</si>
  <si>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</si>
  <si>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</si>
  <si>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</si>
  <si>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</si>
  <si>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</si>
  <si>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</si>
  <si>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</si>
  <si>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</si>
  <si>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</si>
  <si>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</si>
  <si>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</si>
  <si>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</si>
  <si>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</si>
  <si>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</si>
  <si>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</si>
  <si>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</si>
  <si>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</si>
  <si>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</si>
  <si>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</si>
  <si>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</si>
  <si>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</si>
  <si>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</si>
  <si>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</si>
  <si>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</si>
  <si>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</si>
  <si>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</si>
  <si>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</si>
  <si>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</si>
  <si>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</si>
  <si>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</si>
  <si>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</si>
  <si>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</si>
  <si>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</si>
  <si>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</si>
  <si>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</si>
  <si>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</si>
  <si>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</si>
  <si>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</si>
  <si>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30 del mes de junio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</si>
  <si>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</si>
  <si>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</si>
  <si>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</si>
  <si>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</si>
  <si>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</si>
  <si>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</si>
  <si>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</si>
  <si>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</si>
  <si>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</si>
  <si>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</si>
  <si>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</si>
  <si>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</si>
  <si>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30 de junio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</si>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</sst>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7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43" fontId="0" fillId="0" borderId="0" xfId="1" applyFont="1"/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7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Millares" xfId="1" builtinId="3"/>
    <cellStyle name="Millares 2" xfId="2" xr:uid="{63605C1A-F5F0-42FF-90FC-B0782C6F3C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>
        <row r="36">
          <cell r="E36">
            <v>2876919.72</v>
          </cell>
        </row>
      </sheetData>
      <sheetData sheetId="6">
        <row r="21">
          <cell r="D21">
            <v>3374630.96</v>
          </cell>
        </row>
        <row r="39">
          <cell r="D39">
            <v>-2985000</v>
          </cell>
        </row>
        <row r="40">
          <cell r="D40">
            <v>-13911470.52</v>
          </cell>
        </row>
        <row r="47">
          <cell r="D47">
            <v>10376953.540000001</v>
          </cell>
        </row>
        <row r="66">
          <cell r="D66">
            <v>2735257.5639999998</v>
          </cell>
        </row>
        <row r="110">
          <cell r="D110">
            <v>1691090.46</v>
          </cell>
        </row>
        <row r="165">
          <cell r="D165">
            <v>107412.33</v>
          </cell>
        </row>
        <row r="166">
          <cell r="D166">
            <v>1718224.43</v>
          </cell>
        </row>
      </sheetData>
      <sheetData sheetId="7">
        <row r="8">
          <cell r="F8">
            <v>2985000</v>
          </cell>
        </row>
        <row r="9">
          <cell r="F9">
            <v>13911470.52</v>
          </cell>
        </row>
        <row r="11">
          <cell r="F11">
            <v>0</v>
          </cell>
        </row>
        <row r="29">
          <cell r="F29">
            <v>267532.19600000046</v>
          </cell>
        </row>
      </sheetData>
      <sheetData sheetId="8">
        <row r="13">
          <cell r="G13">
            <v>27301926.220000003</v>
          </cell>
        </row>
      </sheetData>
      <sheetData sheetId="9">
        <row r="63">
          <cell r="C63">
            <v>12108831.997271182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B9C4745A-59F3-41CE-A6C9-8653BA56CD23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B9C4745A-59F3-41CE-A6C9-8653BA56CD23}" id="{83521481-0BB3-4E07-A8D2-D61472F110B9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5FD4-EC8C-428B-A257-CDE828BB2D19}">
  <sheetPr filterMode="1"/>
  <dimension ref="A1:AA88"/>
  <sheetViews>
    <sheetView tabSelected="1" view="pageBreakPreview" zoomScale="60" workbookViewId="0">
      <selection activeCell="R16" sqref="R16"/>
    </sheetView>
  </sheetViews>
  <sheetFormatPr baseColWidth="10" defaultColWidth="11.42578125" defaultRowHeight="18.75" x14ac:dyDescent="0.25"/>
  <cols>
    <col min="1" max="1" width="92.140625" style="32" customWidth="1"/>
    <col min="2" max="2" width="30.7109375" style="1" hidden="1" customWidth="1"/>
    <col min="3" max="3" width="21" style="32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04" t="str">
        <f>'[3]Flujo de Efectivo'!A2</f>
        <v>Estado de Flujo de Efectivo</v>
      </c>
      <c r="B1" s="105"/>
      <c r="C1" s="104"/>
      <c r="D1" s="105"/>
      <c r="E1" s="105"/>
      <c r="F1" s="32"/>
    </row>
    <row r="2" spans="1:17" x14ac:dyDescent="0.3">
      <c r="A2" s="104" t="s">
        <v>6</v>
      </c>
      <c r="B2" s="105"/>
      <c r="C2" s="104"/>
      <c r="D2" s="105"/>
      <c r="E2" s="105"/>
      <c r="F2" s="32"/>
    </row>
    <row r="3" spans="1:17" x14ac:dyDescent="0.3">
      <c r="A3" s="104" t="str">
        <f>'[3]Flujo de Efectivo'!A4</f>
        <v>(Valores en RD$)</v>
      </c>
      <c r="B3" s="105"/>
      <c r="C3" s="104"/>
      <c r="D3" s="105"/>
      <c r="E3" s="105"/>
      <c r="F3" s="32"/>
    </row>
    <row r="4" spans="1:17" ht="14.25" customHeight="1" thickBot="1" x14ac:dyDescent="0.3">
      <c r="A4" s="33"/>
      <c r="B4" s="33"/>
      <c r="C4" s="34"/>
      <c r="D4" s="34"/>
      <c r="E4" s="32"/>
      <c r="F4" s="32"/>
    </row>
    <row r="5" spans="1:17" ht="19.5" thickBot="1" x14ac:dyDescent="0.3">
      <c r="B5" s="32"/>
      <c r="C5" s="35"/>
      <c r="D5" s="35"/>
      <c r="E5" s="35">
        <f>+'[1]BC Balance Comprobación'!F11</f>
        <v>2021</v>
      </c>
      <c r="F5" s="32"/>
      <c r="G5" s="36">
        <v>44197</v>
      </c>
      <c r="I5" s="37">
        <v>44228</v>
      </c>
      <c r="J5" s="38">
        <v>44256</v>
      </c>
      <c r="K5" s="38">
        <v>44287</v>
      </c>
      <c r="L5" s="38">
        <v>44317</v>
      </c>
    </row>
    <row r="6" spans="1:17" x14ac:dyDescent="0.25">
      <c r="A6" s="39" t="s">
        <v>7</v>
      </c>
      <c r="B6" s="39"/>
      <c r="C6" s="40"/>
      <c r="D6" s="40"/>
      <c r="E6" s="41"/>
      <c r="F6" s="32"/>
      <c r="H6" s="9"/>
      <c r="J6" s="42"/>
      <c r="K6" s="42"/>
      <c r="P6" s="28"/>
    </row>
    <row r="7" spans="1:17" customFormat="1" hidden="1" x14ac:dyDescent="0.3">
      <c r="A7" s="43" t="s">
        <v>8</v>
      </c>
      <c r="B7" s="43"/>
      <c r="C7" s="12">
        <v>0</v>
      </c>
      <c r="D7" s="12"/>
      <c r="E7" s="12">
        <v>0</v>
      </c>
      <c r="F7" s="13"/>
      <c r="G7" s="44"/>
      <c r="H7" s="12">
        <f t="shared" ref="H7:H14" si="0">+C7+E7</f>
        <v>0</v>
      </c>
      <c r="I7" s="13"/>
      <c r="J7" s="13"/>
    </row>
    <row r="8" spans="1:17" customFormat="1" hidden="1" x14ac:dyDescent="0.25">
      <c r="A8" s="43" t="s">
        <v>9</v>
      </c>
      <c r="B8" s="43"/>
      <c r="C8" s="12">
        <v>0</v>
      </c>
      <c r="D8" s="12"/>
      <c r="E8" s="12">
        <v>0</v>
      </c>
      <c r="F8" s="13"/>
      <c r="G8" s="45"/>
      <c r="H8" s="12">
        <f t="shared" si="0"/>
        <v>0</v>
      </c>
      <c r="I8" s="13"/>
      <c r="J8" s="13"/>
      <c r="O8" s="46">
        <v>97913476.890000001</v>
      </c>
      <c r="P8" s="46"/>
    </row>
    <row r="9" spans="1:17" customFormat="1" x14ac:dyDescent="0.3">
      <c r="A9" s="47" t="s">
        <v>10</v>
      </c>
      <c r="B9" s="44"/>
      <c r="C9" s="44">
        <f>'[2] ERF-Rendimiento Financiero'!F8</f>
        <v>2985000</v>
      </c>
      <c r="D9" s="48"/>
      <c r="E9" s="44">
        <f>'[1]BC Balance Comprobación'!M37</f>
        <v>0</v>
      </c>
      <c r="F9" s="49"/>
      <c r="G9" s="44">
        <v>250000</v>
      </c>
      <c r="H9" s="12">
        <f t="shared" si="0"/>
        <v>2985000</v>
      </c>
      <c r="I9" s="50">
        <f>-'[4]BC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46">
        <v>96320160.819999993</v>
      </c>
      <c r="P9" s="46"/>
      <c r="Q9" s="46"/>
    </row>
    <row r="10" spans="1:17" x14ac:dyDescent="0.25">
      <c r="A10" s="47" t="s">
        <v>11</v>
      </c>
      <c r="B10" s="45"/>
      <c r="C10" s="45">
        <f>'[2] ERF-Rendimiento Financiero'!F9+'[2] ERF-Rendimiento Financiero'!F11</f>
        <v>13911470.52</v>
      </c>
      <c r="D10" s="52"/>
      <c r="E10" s="34">
        <f>'[1]BC Balance Comprobación'!M38</f>
        <v>0</v>
      </c>
      <c r="F10" s="32"/>
      <c r="G10" s="45">
        <v>12775551</v>
      </c>
      <c r="H10" s="9">
        <f t="shared" si="0"/>
        <v>13911470.52</v>
      </c>
      <c r="I10" s="50">
        <f>-'[4]BC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94575552.179999992</v>
      </c>
      <c r="O10" s="28">
        <f>+O8-O9</f>
        <v>1593316.0700000077</v>
      </c>
      <c r="P10" s="28"/>
    </row>
    <row r="11" spans="1:17" customFormat="1" hidden="1" x14ac:dyDescent="0.25">
      <c r="A11" s="43" t="s">
        <v>12</v>
      </c>
      <c r="B11" s="43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3" t="s">
        <v>13</v>
      </c>
      <c r="B12" s="43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3" t="s">
        <v>14</v>
      </c>
      <c r="B13" s="43">
        <v>-6923283.4199999999</v>
      </c>
      <c r="C13" s="53">
        <v>0</v>
      </c>
      <c r="D13" s="53"/>
      <c r="E13" s="12">
        <v>0</v>
      </c>
      <c r="F13" s="13"/>
      <c r="G13" s="44"/>
      <c r="H13" s="12">
        <f t="shared" si="0"/>
        <v>0</v>
      </c>
      <c r="I13" s="50"/>
      <c r="J13" s="13"/>
      <c r="K13" s="46"/>
      <c r="O13" s="51">
        <f>+M17+M18+M20</f>
        <v>-106146724.61399999</v>
      </c>
    </row>
    <row r="14" spans="1:17" customFormat="1" x14ac:dyDescent="0.3">
      <c r="A14" s="47" t="s">
        <v>15</v>
      </c>
      <c r="B14" s="54"/>
      <c r="C14" s="54">
        <f>-'[2]BC Balance Comprobación'!D42</f>
        <v>0</v>
      </c>
      <c r="D14" s="55"/>
      <c r="E14" s="44">
        <f>'[1]BC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-8233247.723999992</v>
      </c>
      <c r="P14" s="46"/>
    </row>
    <row r="15" spans="1:17" customFormat="1" x14ac:dyDescent="0.3">
      <c r="A15" s="56"/>
      <c r="B15" s="44"/>
      <c r="C15" s="44"/>
      <c r="D15" s="48"/>
      <c r="E15" s="44"/>
      <c r="F15" s="49"/>
      <c r="G15" s="34"/>
      <c r="H15" s="12"/>
      <c r="I15" s="50"/>
      <c r="J15" s="13"/>
      <c r="P15" s="46"/>
    </row>
    <row r="16" spans="1:17" customFormat="1" x14ac:dyDescent="0.3">
      <c r="A16" s="47" t="s">
        <v>16</v>
      </c>
      <c r="B16" s="43">
        <v>0</v>
      </c>
      <c r="C16" s="34">
        <f>-'[2]BC Balance Comprobación'!D165</f>
        <v>-107412.33</v>
      </c>
      <c r="D16" s="12"/>
      <c r="E16" s="12">
        <v>0</v>
      </c>
      <c r="F16" s="13"/>
      <c r="G16" s="44"/>
      <c r="H16" s="12">
        <f t="shared" ref="H16:H23" si="1">+C16+E16</f>
        <v>-107412.33</v>
      </c>
      <c r="I16" s="50"/>
      <c r="J16" s="13"/>
      <c r="P16" s="51"/>
    </row>
    <row r="17" spans="1:21" x14ac:dyDescent="0.3">
      <c r="A17" s="47" t="s">
        <v>17</v>
      </c>
      <c r="B17" s="34"/>
      <c r="C17" s="34">
        <f>-'[2]BC Balance Comprobación'!D47-'[2]BC Balance Comprobación'!D48-'[2]BC Balance Comprobación'!D49-'[2]BC Balance Comprobación'!D55-'[2]BC Balance Comprobación'!D56</f>
        <v>-10376953.540000001</v>
      </c>
      <c r="D17" s="57"/>
      <c r="E17" s="34">
        <v>-83368429</v>
      </c>
      <c r="F17" s="32"/>
      <c r="G17" s="44">
        <v>-5376484.4800000004</v>
      </c>
      <c r="H17" s="9">
        <f t="shared" si="1"/>
        <v>-93745382.540000007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-51759911.600000001</v>
      </c>
      <c r="Q17" s="17"/>
      <c r="R17" s="26"/>
      <c r="S17" s="26"/>
    </row>
    <row r="18" spans="1:21" customFormat="1" x14ac:dyDescent="0.3">
      <c r="A18" s="47" t="s">
        <v>18</v>
      </c>
      <c r="B18" s="44"/>
      <c r="C18" s="44">
        <f>-'[2]BC Balance Comprobación'!D61-'[2]BC Balance Comprobación'!D62-'[2]BC Balance Comprobación'!D63</f>
        <v>0</v>
      </c>
      <c r="D18" s="48"/>
      <c r="E18" s="44">
        <v>-8951787</v>
      </c>
      <c r="F18" s="49"/>
      <c r="G18" s="44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3" t="s">
        <v>19</v>
      </c>
      <c r="B19" s="43"/>
      <c r="C19" s="44">
        <f>-'[1]BC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4"/>
      <c r="C20" s="44">
        <f>-'[2]BC Balance Comprobación'!D66-'[2]BC Balance Comprobación'!D110-21435185.12</f>
        <v>-25861533.144000001</v>
      </c>
      <c r="D20" s="57"/>
      <c r="E20" s="34">
        <v>-60758429</v>
      </c>
      <c r="F20" s="32"/>
      <c r="G20" s="12">
        <v>-65427</v>
      </c>
      <c r="H20" s="9">
        <f t="shared" si="1"/>
        <v>-86619962.143999994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-49928419.623999998</v>
      </c>
      <c r="P20" s="17"/>
      <c r="R20" s="17"/>
    </row>
    <row r="21" spans="1:21" customFormat="1" hidden="1" x14ac:dyDescent="0.25">
      <c r="A21" s="43" t="s">
        <v>21</v>
      </c>
      <c r="B21" s="43"/>
      <c r="C21" s="12">
        <v>0</v>
      </c>
      <c r="D21" s="12"/>
      <c r="E21" s="12">
        <v>0</v>
      </c>
      <c r="F21" s="13"/>
      <c r="G21" s="34"/>
      <c r="H21" s="12">
        <f t="shared" si="1"/>
        <v>0</v>
      </c>
      <c r="I21" s="50"/>
      <c r="J21" s="13"/>
      <c r="Q21" s="59"/>
    </row>
    <row r="22" spans="1:21" customFormat="1" hidden="1" x14ac:dyDescent="0.25">
      <c r="A22" s="43" t="s">
        <v>22</v>
      </c>
      <c r="B22" s="43">
        <v>-288795</v>
      </c>
      <c r="C22" s="12">
        <v>0</v>
      </c>
      <c r="D22" s="12"/>
      <c r="E22" s="12">
        <v>0</v>
      </c>
      <c r="F22" s="13"/>
      <c r="G22" s="34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4"/>
      <c r="C23" s="34"/>
      <c r="D23" s="57"/>
      <c r="E23" s="34">
        <v>-8548025</v>
      </c>
      <c r="F23" s="60"/>
      <c r="G23" s="34"/>
      <c r="H23" s="9">
        <f t="shared" si="1"/>
        <v>-8548025</v>
      </c>
      <c r="I23" s="50"/>
      <c r="U23" s="17"/>
    </row>
    <row r="24" spans="1:21" hidden="1" x14ac:dyDescent="0.25">
      <c r="A24" s="47"/>
      <c r="B24" s="34"/>
      <c r="C24" s="34"/>
      <c r="D24" s="57"/>
      <c r="E24" s="34"/>
      <c r="F24" s="60"/>
      <c r="G24" s="57"/>
      <c r="H24" s="9"/>
      <c r="I24" s="50"/>
    </row>
    <row r="25" spans="1:21" ht="24.75" customHeight="1" x14ac:dyDescent="0.3">
      <c r="A25" s="47" t="s">
        <v>24</v>
      </c>
      <c r="B25" s="34"/>
      <c r="C25" s="34"/>
      <c r="D25" s="57"/>
      <c r="E25" s="34"/>
      <c r="F25" s="60"/>
      <c r="G25" s="44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-19449428.494000003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-181076098.49400002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2" t="s">
        <v>1</v>
      </c>
      <c r="B27" s="34"/>
      <c r="C27" s="34"/>
      <c r="D27" s="57"/>
      <c r="E27" s="34"/>
      <c r="F27" s="32"/>
      <c r="G27" s="44"/>
      <c r="H27" s="1" t="s">
        <v>26</v>
      </c>
      <c r="I27" s="50"/>
      <c r="J27" s="62"/>
      <c r="P27" s="17"/>
      <c r="Q27" s="28"/>
    </row>
    <row r="28" spans="1:21" x14ac:dyDescent="0.25">
      <c r="A28" s="33" t="s">
        <v>27</v>
      </c>
      <c r="B28" s="63"/>
      <c r="C28" s="63"/>
      <c r="D28" s="64"/>
      <c r="E28" s="57"/>
      <c r="F28" s="32"/>
      <c r="G28" s="57"/>
      <c r="H28" s="9"/>
      <c r="I28" s="50"/>
    </row>
    <row r="29" spans="1:21" customFormat="1" hidden="1" x14ac:dyDescent="0.25">
      <c r="A29" s="43" t="s">
        <v>28</v>
      </c>
      <c r="B29" s="43">
        <v>44585</v>
      </c>
      <c r="C29" s="12">
        <v>0</v>
      </c>
      <c r="D29" s="12"/>
      <c r="E29" s="12">
        <v>0</v>
      </c>
      <c r="F29" s="13"/>
      <c r="G29" s="34">
        <v>-67114.9375</v>
      </c>
      <c r="H29" s="12">
        <f>+C29+E29</f>
        <v>0</v>
      </c>
      <c r="I29" s="50">
        <v>-460985.64999999997</v>
      </c>
      <c r="J29" s="50">
        <v>-2046096.781</v>
      </c>
      <c r="K29" s="34">
        <v>-1106252.8999999999</v>
      </c>
      <c r="L29" s="50">
        <v>-1989590.89</v>
      </c>
    </row>
    <row r="30" spans="1:21" customFormat="1" hidden="1" x14ac:dyDescent="0.25">
      <c r="A30" s="43" t="s">
        <v>29</v>
      </c>
      <c r="B30" s="43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3" t="s">
        <v>30</v>
      </c>
      <c r="B31" s="43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3" t="s">
        <v>31</v>
      </c>
      <c r="B32" s="43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4"/>
      <c r="J32" s="13"/>
    </row>
    <row r="33" spans="1:27" customFormat="1" hidden="1" x14ac:dyDescent="0.25">
      <c r="A33" s="43" t="s">
        <v>32</v>
      </c>
      <c r="B33" s="43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4"/>
      <c r="D34" s="67"/>
      <c r="E34" s="44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4"/>
      <c r="C35" s="44"/>
      <c r="D35" s="48"/>
      <c r="E35" s="44"/>
      <c r="F35" s="49"/>
      <c r="G35" s="34"/>
      <c r="H35" s="12"/>
      <c r="I35" s="12"/>
      <c r="J35" s="27"/>
      <c r="Q35" s="51"/>
      <c r="R35" s="51"/>
    </row>
    <row r="36" spans="1:27" x14ac:dyDescent="0.25">
      <c r="A36" s="47" t="s">
        <v>33</v>
      </c>
      <c r="B36" s="34"/>
      <c r="C36" s="34">
        <f>+[2]Junio!E36</f>
        <v>2876919.72</v>
      </c>
      <c r="D36" s="57"/>
      <c r="E36" s="34">
        <v>-12714328.18</v>
      </c>
      <c r="F36" s="32"/>
      <c r="H36" s="9">
        <f t="shared" ref="H36:H42" si="3">+C36+E36</f>
        <v>-9837408.459999999</v>
      </c>
      <c r="I36" s="12"/>
      <c r="J36" s="9"/>
      <c r="P36" s="17"/>
      <c r="Q36" s="26"/>
      <c r="R36" s="26"/>
      <c r="S36" s="68"/>
    </row>
    <row r="37" spans="1:27" ht="15" hidden="1" x14ac:dyDescent="0.25">
      <c r="A37" s="43" t="s">
        <v>34</v>
      </c>
      <c r="B37" s="43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3" t="s">
        <v>35</v>
      </c>
      <c r="B38" s="43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3" t="s">
        <v>36</v>
      </c>
      <c r="B39" s="43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3" t="s">
        <v>37</v>
      </c>
      <c r="B40" s="43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3"/>
      <c r="C41" s="34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4"/>
      <c r="C42" s="70"/>
      <c r="D42" s="48"/>
      <c r="E42" s="44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2"/>
      <c r="B43" s="44"/>
      <c r="C43" s="44"/>
      <c r="D43" s="48"/>
      <c r="E43" s="44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2876919.72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4"/>
      <c r="C45" s="34"/>
      <c r="D45" s="57"/>
      <c r="E45" s="34"/>
      <c r="F45" s="32"/>
      <c r="G45" s="34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4"/>
      <c r="F46" s="32"/>
      <c r="G46" s="73"/>
      <c r="H46" s="9">
        <f>+C46+E46</f>
        <v>0</v>
      </c>
      <c r="I46" s="57"/>
      <c r="J46" s="22"/>
      <c r="X46" s="46"/>
      <c r="Z46" s="46"/>
      <c r="AA46" s="46"/>
    </row>
    <row r="47" spans="1:27" customFormat="1" x14ac:dyDescent="0.3">
      <c r="A47" s="56" t="s">
        <v>42</v>
      </c>
      <c r="B47" s="43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46"/>
    </row>
    <row r="48" spans="1:27" customFormat="1" ht="15" hidden="1" x14ac:dyDescent="0.25">
      <c r="A48" s="43" t="s">
        <v>43</v>
      </c>
      <c r="B48" s="43"/>
      <c r="C48" s="12"/>
      <c r="D48" s="12"/>
      <c r="E48" s="12">
        <v>0</v>
      </c>
      <c r="F48" s="13"/>
      <c r="H48">
        <f>+C48+E48</f>
        <v>0</v>
      </c>
      <c r="J48" s="13"/>
      <c r="K48" s="51"/>
      <c r="L48" s="46"/>
      <c r="O48" s="51">
        <f>+C53+O53</f>
        <v>-5142475.3599999975</v>
      </c>
      <c r="Q48" s="51"/>
    </row>
    <row r="49" spans="1:21" customFormat="1" ht="15" hidden="1" x14ac:dyDescent="0.25">
      <c r="A49" s="43" t="s">
        <v>44</v>
      </c>
      <c r="B49" s="43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46"/>
    </row>
    <row r="50" spans="1:21" customFormat="1" ht="15" hidden="1" x14ac:dyDescent="0.25">
      <c r="A50" s="75" t="s">
        <v>45</v>
      </c>
      <c r="B50" s="43"/>
      <c r="C50" s="12"/>
      <c r="D50" s="12"/>
      <c r="E50" s="12">
        <v>0</v>
      </c>
      <c r="F50" s="13"/>
      <c r="H50">
        <f>+C50+E50</f>
        <v>0</v>
      </c>
      <c r="J50" s="13"/>
      <c r="L50" s="46"/>
      <c r="P50" s="51"/>
      <c r="R50" s="51"/>
    </row>
    <row r="51" spans="1:21" customFormat="1" ht="16.5" hidden="1" customHeight="1" x14ac:dyDescent="0.3">
      <c r="A51" s="47" t="s">
        <v>15</v>
      </c>
      <c r="B51" s="44"/>
      <c r="C51" s="34"/>
      <c r="D51" s="48"/>
      <c r="E51" s="44">
        <v>0</v>
      </c>
      <c r="F51" s="49"/>
      <c r="H51">
        <f>+G58+E51</f>
        <v>0</v>
      </c>
      <c r="J51" s="13"/>
      <c r="K51" s="59"/>
      <c r="L51" s="46"/>
      <c r="Q51" s="46"/>
    </row>
    <row r="52" spans="1:21" customFormat="1" hidden="1" x14ac:dyDescent="0.3">
      <c r="A52" s="56"/>
      <c r="B52" s="44"/>
      <c r="C52" s="1"/>
      <c r="D52" s="48"/>
      <c r="E52" s="44"/>
      <c r="F52" s="49"/>
      <c r="G52" s="12"/>
      <c r="H52" s="12"/>
      <c r="I52" s="12"/>
      <c r="J52" s="13"/>
      <c r="L52" s="46"/>
      <c r="Q52" s="46"/>
      <c r="R52" s="51"/>
      <c r="U52" s="46"/>
    </row>
    <row r="53" spans="1:21" customFormat="1" x14ac:dyDescent="0.3">
      <c r="A53" s="47" t="s">
        <v>46</v>
      </c>
      <c r="B53" s="43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3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46"/>
    </row>
    <row r="55" spans="1:21" customFormat="1" hidden="1" x14ac:dyDescent="0.25">
      <c r="A55" s="47" t="s">
        <v>48</v>
      </c>
      <c r="B55" s="43"/>
      <c r="C55" s="32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46"/>
      <c r="O55" s="77">
        <v>-478574.57</v>
      </c>
      <c r="Q55" s="46"/>
      <c r="R55" s="9"/>
      <c r="S55" s="59"/>
    </row>
    <row r="56" spans="1:21" customFormat="1" hidden="1" x14ac:dyDescent="0.25">
      <c r="A56" s="47" t="s">
        <v>49</v>
      </c>
      <c r="B56" s="43"/>
      <c r="C56" s="32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46"/>
      <c r="O56" s="78">
        <f>+O53-O55</f>
        <v>-4663900.7899999972</v>
      </c>
    </row>
    <row r="57" spans="1:21" customFormat="1" hidden="1" x14ac:dyDescent="0.25">
      <c r="A57" s="47" t="s">
        <v>50</v>
      </c>
      <c r="B57" s="43"/>
      <c r="C57" s="32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46"/>
      <c r="M57" s="51"/>
      <c r="N57" s="51"/>
    </row>
    <row r="58" spans="1:21" customFormat="1" x14ac:dyDescent="0.25">
      <c r="A58" s="47" t="s">
        <v>39</v>
      </c>
      <c r="B58" s="43"/>
      <c r="C58" s="32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46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46"/>
    </row>
    <row r="60" spans="1:21" customFormat="1" x14ac:dyDescent="0.3">
      <c r="A60" s="49"/>
      <c r="B60" s="44"/>
      <c r="C60" s="44"/>
      <c r="D60" s="48"/>
      <c r="E60" s="44"/>
      <c r="F60" s="49"/>
      <c r="G60" s="12"/>
      <c r="H60" s="12" t="s">
        <v>26</v>
      </c>
      <c r="I60" s="12"/>
      <c r="J60" s="13"/>
      <c r="R60" s="51"/>
    </row>
    <row r="61" spans="1:21" x14ac:dyDescent="0.25">
      <c r="A61" s="32" t="s">
        <v>52</v>
      </c>
      <c r="B61" s="34"/>
      <c r="C61" s="34">
        <f>+C26+C44+C59</f>
        <v>-16572508.774000002</v>
      </c>
      <c r="D61" s="34">
        <f>+D26+D44+D59</f>
        <v>0</v>
      </c>
      <c r="E61" s="34">
        <f>+E26+E44+E59</f>
        <v>-172671604.18000001</v>
      </c>
      <c r="F61" s="34">
        <f>+F26+F44+F59</f>
        <v>0</v>
      </c>
      <c r="G61" s="34">
        <f>+G26+G44+G59</f>
        <v>-1380288.7175000003</v>
      </c>
      <c r="H61" s="9">
        <f>+C61+E61</f>
        <v>-189244112.954</v>
      </c>
      <c r="I61" s="34">
        <f>+I26+I44+I59</f>
        <v>-1263504.060000001</v>
      </c>
      <c r="J61" s="34">
        <f>+J26+J44+J59</f>
        <v>-6464170.0810000002</v>
      </c>
      <c r="K61" s="34">
        <f>+K26+K44+K59</f>
        <v>-2637869.9299999992</v>
      </c>
      <c r="L61" s="34">
        <f>+L26+L44+L59</f>
        <v>354154.04000000039</v>
      </c>
    </row>
    <row r="62" spans="1:21" ht="23.25" x14ac:dyDescent="0.25">
      <c r="A62" s="32" t="s">
        <v>53</v>
      </c>
      <c r="B62" s="73"/>
      <c r="C62" s="73">
        <v>28681340.771271184</v>
      </c>
      <c r="D62" s="80"/>
      <c r="E62" s="73">
        <v>5853191.9199999999</v>
      </c>
      <c r="F62" s="32"/>
      <c r="G62" s="73">
        <v>20979065.719999999</v>
      </c>
      <c r="H62" s="9">
        <f>+C62+E62</f>
        <v>34534532.691271186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2" t="s">
        <v>54</v>
      </c>
      <c r="B63" s="81"/>
      <c r="C63" s="81">
        <f>SUM(C61:C62)</f>
        <v>12108831.997271182</v>
      </c>
      <c r="D63" s="57"/>
      <c r="E63" s="81">
        <f>SUM(E61:E62)</f>
        <v>-166818412.26000002</v>
      </c>
      <c r="F63" s="32"/>
      <c r="G63" s="81">
        <f>SUM(G61:G62)</f>
        <v>19598777.002499998</v>
      </c>
      <c r="H63" s="9">
        <f>+C63+E63</f>
        <v>-154709580.26272884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2"/>
      <c r="G64" s="57"/>
      <c r="H64" s="9"/>
      <c r="I64" s="57"/>
      <c r="J64" s="57"/>
      <c r="K64" s="57"/>
      <c r="L64" s="57"/>
    </row>
    <row r="65" spans="1:16" x14ac:dyDescent="0.25">
      <c r="B65" s="32"/>
      <c r="C65" s="41"/>
      <c r="D65" s="41"/>
      <c r="E65" s="41"/>
      <c r="F65" s="32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4"/>
      <c r="D66" s="32"/>
      <c r="E66" s="34"/>
      <c r="F66" s="32"/>
      <c r="G66" s="73" t="s">
        <v>56</v>
      </c>
      <c r="M66" s="17">
        <f>+K62-J63</f>
        <v>0.14100000262260437</v>
      </c>
    </row>
    <row r="67" spans="1:16" x14ac:dyDescent="0.25">
      <c r="A67" s="105" t="s">
        <v>3</v>
      </c>
      <c r="B67" s="105"/>
      <c r="C67" s="105"/>
      <c r="D67" s="32"/>
      <c r="E67" s="32"/>
      <c r="F67" s="32"/>
      <c r="G67" s="9"/>
      <c r="I67" s="9" t="e">
        <f>+C63-G66</f>
        <v>#VALUE!</v>
      </c>
    </row>
    <row r="68" spans="1:16" x14ac:dyDescent="0.25">
      <c r="A68" s="108" t="s">
        <v>4</v>
      </c>
      <c r="B68" s="108"/>
      <c r="C68" s="108"/>
      <c r="D68" s="32"/>
      <c r="E68" s="32"/>
      <c r="F68" s="32"/>
      <c r="I68" s="20"/>
    </row>
    <row r="69" spans="1:16" hidden="1" x14ac:dyDescent="0.25">
      <c r="A69" s="107" t="s">
        <v>57</v>
      </c>
      <c r="B69" s="107"/>
      <c r="C69" s="107"/>
      <c r="D69" s="107"/>
      <c r="E69" s="107"/>
      <c r="F69" s="32"/>
      <c r="I69" s="9"/>
    </row>
    <row r="70" spans="1:16" hidden="1" x14ac:dyDescent="0.25">
      <c r="B70" s="32"/>
      <c r="D70" s="32"/>
      <c r="E70" s="32"/>
      <c r="F70" s="32"/>
      <c r="I70" s="45"/>
    </row>
    <row r="71" spans="1:16" hidden="1" x14ac:dyDescent="0.25">
      <c r="B71" s="32"/>
      <c r="D71" s="32"/>
      <c r="E71" s="32"/>
      <c r="F71" s="32"/>
      <c r="I71" s="20"/>
    </row>
    <row r="72" spans="1:16" ht="18.75" hidden="1" customHeight="1" x14ac:dyDescent="0.25">
      <c r="A72" s="106"/>
      <c r="B72" s="107"/>
      <c r="C72" s="106"/>
      <c r="D72" s="47"/>
      <c r="E72" s="47"/>
      <c r="F72" s="47"/>
    </row>
    <row r="73" spans="1:16" hidden="1" x14ac:dyDescent="0.25">
      <c r="B73" s="32"/>
      <c r="D73" s="32"/>
      <c r="E73" s="32"/>
      <c r="F73" s="32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F231-7E15-43C3-B024-2E54898A2DB4}">
  <sheetPr filterMode="1"/>
  <dimension ref="A2:N30"/>
  <sheetViews>
    <sheetView view="pageBreakPreview" topLeftCell="A7" zoomScale="75" zoomScaleSheetLayoutView="75" workbookViewId="0">
      <selection activeCell="I17" sqref="I17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5"/>
      <c r="C2" s="105"/>
      <c r="D2" s="105"/>
      <c r="E2" s="105"/>
      <c r="F2" s="105"/>
      <c r="G2" s="105"/>
      <c r="H2" s="105"/>
    </row>
    <row r="3" spans="1:13" ht="18.75" x14ac:dyDescent="0.25">
      <c r="B3" s="105" t="s">
        <v>58</v>
      </c>
      <c r="C3" s="105"/>
      <c r="D3" s="105"/>
      <c r="E3" s="105"/>
      <c r="F3" s="105"/>
      <c r="G3" s="105"/>
      <c r="H3" s="105"/>
    </row>
    <row r="4" spans="1:13" ht="18.75" x14ac:dyDescent="0.25">
      <c r="B4" s="105" t="s">
        <v>59</v>
      </c>
      <c r="C4" s="105"/>
      <c r="D4" s="105"/>
      <c r="E4" s="105"/>
      <c r="F4" s="105"/>
      <c r="G4" s="105"/>
      <c r="H4" s="105"/>
    </row>
    <row r="5" spans="1:13" ht="18.75" x14ac:dyDescent="0.25">
      <c r="B5" s="105" t="s">
        <v>0</v>
      </c>
      <c r="C5" s="105"/>
      <c r="D5" s="105"/>
      <c r="E5" s="105"/>
      <c r="F5" s="105"/>
      <c r="G5" s="105"/>
      <c r="H5" s="105"/>
    </row>
    <row r="6" spans="1:13" ht="18.75" x14ac:dyDescent="0.3">
      <c r="B6" s="32"/>
      <c r="C6" s="33"/>
      <c r="D6" s="49"/>
      <c r="E6" s="49"/>
      <c r="F6" s="49"/>
      <c r="G6" s="32"/>
      <c r="H6" s="32"/>
    </row>
    <row r="7" spans="1:13" ht="56.25" x14ac:dyDescent="0.25">
      <c r="B7" s="32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2"/>
      <c r="C8" s="84" t="s">
        <v>65</v>
      </c>
      <c r="D8" s="86">
        <v>51695326</v>
      </c>
      <c r="E8" s="87">
        <v>0</v>
      </c>
      <c r="F8" s="87">
        <v>0</v>
      </c>
      <c r="G8" s="88">
        <v>18555016.600000001</v>
      </c>
      <c r="H8" s="88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7"/>
      <c r="E9" s="87">
        <v>0</v>
      </c>
      <c r="F9" s="87"/>
      <c r="G9" s="87"/>
      <c r="H9" s="87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7"/>
      <c r="E10" s="87"/>
      <c r="F10" s="87" t="s">
        <v>1</v>
      </c>
      <c r="G10" s="87"/>
      <c r="H10" s="87"/>
      <c r="I10" s="13"/>
    </row>
    <row r="11" spans="1:13" ht="18.75" x14ac:dyDescent="0.3">
      <c r="B11" s="32"/>
      <c r="C11" s="84" t="s">
        <v>68</v>
      </c>
      <c r="D11" s="86"/>
      <c r="E11" s="87"/>
      <c r="F11" s="87"/>
      <c r="G11" s="88">
        <v>1955638</v>
      </c>
      <c r="H11" s="88">
        <v>1955638</v>
      </c>
      <c r="I11" s="9"/>
      <c r="J11" s="17"/>
    </row>
    <row r="12" spans="1:13" ht="18.75" x14ac:dyDescent="0.3">
      <c r="B12" s="32"/>
      <c r="C12" s="84" t="s">
        <v>69</v>
      </c>
      <c r="D12" s="86"/>
      <c r="E12" s="87"/>
      <c r="F12" s="87"/>
      <c r="G12" s="88">
        <v>6791271.6200000001</v>
      </c>
      <c r="H12" s="88">
        <f>SUM(D12,E12,F12,G12)</f>
        <v>6791271.6200000001</v>
      </c>
      <c r="I12" s="9"/>
    </row>
    <row r="13" spans="1:13" ht="18.75" x14ac:dyDescent="0.3">
      <c r="B13" s="32"/>
      <c r="C13" s="84" t="s">
        <v>70</v>
      </c>
      <c r="D13" s="89">
        <f>SUM(D8:D12)</f>
        <v>51695326</v>
      </c>
      <c r="E13" s="89">
        <f>SUM(E8:E12)</f>
        <v>0</v>
      </c>
      <c r="F13" s="89">
        <f>SUM(F8:F12)</f>
        <v>0</v>
      </c>
      <c r="G13" s="90">
        <f>SUM(G8:G12)</f>
        <v>27301926.220000003</v>
      </c>
      <c r="H13" s="90">
        <f>SUM(H8:H12)</f>
        <v>78997252.219999999</v>
      </c>
      <c r="I13" s="9"/>
      <c r="K13" s="17"/>
      <c r="M13" s="17"/>
    </row>
    <row r="14" spans="1:13" ht="18.75" hidden="1" x14ac:dyDescent="0.3">
      <c r="B14" s="32"/>
      <c r="C14" s="91" t="s">
        <v>1</v>
      </c>
      <c r="D14" s="92">
        <f>SUM(D9:D13)</f>
        <v>51695326</v>
      </c>
      <c r="E14" s="44"/>
      <c r="F14" s="93"/>
      <c r="G14" s="34">
        <v>39052659</v>
      </c>
      <c r="H14" s="94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5" t="s">
        <v>66</v>
      </c>
      <c r="D15" s="87"/>
      <c r="E15" s="87">
        <v>0</v>
      </c>
      <c r="F15" s="87"/>
      <c r="G15" s="87"/>
      <c r="H15" s="87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5" t="s">
        <v>67</v>
      </c>
      <c r="D16" s="87"/>
      <c r="E16" s="87"/>
      <c r="F16" s="87">
        <v>0</v>
      </c>
      <c r="G16" s="87"/>
      <c r="H16" s="87">
        <f>SUM(D16,E16,F16,G16)</f>
        <v>0</v>
      </c>
      <c r="I16" s="13"/>
    </row>
    <row r="17" spans="1:14" customFormat="1" ht="37.5" x14ac:dyDescent="0.3">
      <c r="A17" s="13"/>
      <c r="B17" s="49"/>
      <c r="C17" s="96" t="s">
        <v>71</v>
      </c>
      <c r="D17" s="87"/>
      <c r="E17" s="87"/>
      <c r="F17" s="87">
        <v>0</v>
      </c>
      <c r="G17" s="87"/>
      <c r="H17" s="87">
        <f>SUM(D17,E17,F17,G17)</f>
        <v>0</v>
      </c>
      <c r="I17" s="9"/>
      <c r="J17" s="78"/>
      <c r="K17" s="59"/>
    </row>
    <row r="18" spans="1:14" ht="18.75" x14ac:dyDescent="0.3">
      <c r="B18" s="32"/>
      <c r="C18" s="95" t="s">
        <v>68</v>
      </c>
      <c r="D18" s="87"/>
      <c r="E18" s="87"/>
      <c r="F18" s="87"/>
      <c r="G18" s="88">
        <v>-2514950</v>
      </c>
      <c r="H18" s="88">
        <v>-2514950</v>
      </c>
      <c r="I18" s="9"/>
      <c r="J18" s="26"/>
      <c r="K18" s="17"/>
      <c r="N18" s="97"/>
    </row>
    <row r="19" spans="1:14" ht="18.75" x14ac:dyDescent="0.3">
      <c r="B19" s="32"/>
      <c r="C19" s="95" t="s">
        <v>69</v>
      </c>
      <c r="D19" s="87"/>
      <c r="E19" s="87"/>
      <c r="F19" s="87"/>
      <c r="G19" s="88">
        <f>'[2] ERF-Rendimiento Financiero'!F29</f>
        <v>267532.19600000046</v>
      </c>
      <c r="H19" s="88">
        <f>SUM(D19,E19,F19,G19)</f>
        <v>267532.19600000046</v>
      </c>
      <c r="I19" s="16"/>
      <c r="J19" s="26"/>
      <c r="K19" s="97"/>
      <c r="L19" s="97"/>
    </row>
    <row r="20" spans="1:14" ht="18.75" x14ac:dyDescent="0.25">
      <c r="B20" s="33"/>
      <c r="C20" s="98" t="s">
        <v>72</v>
      </c>
      <c r="D20" s="90">
        <f>D14+D18</f>
        <v>51695326</v>
      </c>
      <c r="E20" s="90">
        <f>SUM(E19,E13)</f>
        <v>0</v>
      </c>
      <c r="F20" s="90">
        <f>SUM(F19,F13)</f>
        <v>0</v>
      </c>
      <c r="G20" s="90">
        <f>G13+G15+G16+G17+G18+G19</f>
        <v>25054508.416000001</v>
      </c>
      <c r="H20" s="90">
        <f>H13+H15+H16+H17+H18+H19</f>
        <v>76749834.415999994</v>
      </c>
      <c r="I20" s="20"/>
      <c r="K20" s="17"/>
      <c r="M20" s="17"/>
    </row>
    <row r="21" spans="1:14" ht="18.75" x14ac:dyDescent="0.3">
      <c r="B21" s="33"/>
      <c r="C21" s="32"/>
      <c r="D21" s="44"/>
      <c r="E21" s="44"/>
      <c r="F21" s="44"/>
      <c r="G21" s="34"/>
      <c r="H21" s="76"/>
      <c r="I21" s="9"/>
      <c r="K21" s="17"/>
    </row>
    <row r="22" spans="1:14" ht="18.75" x14ac:dyDescent="0.25">
      <c r="B22" s="32"/>
      <c r="C22" s="32"/>
      <c r="D22" s="32"/>
      <c r="E22" s="32"/>
      <c r="F22" s="32"/>
      <c r="G22" s="34"/>
      <c r="H22" s="12"/>
      <c r="I22" s="20"/>
      <c r="J22" s="17"/>
      <c r="L22" s="17"/>
    </row>
    <row r="23" spans="1:14" ht="18.75" hidden="1" x14ac:dyDescent="0.3">
      <c r="B23" s="32"/>
      <c r="C23" s="32" t="s">
        <v>73</v>
      </c>
      <c r="D23" s="32"/>
      <c r="E23" s="32"/>
      <c r="F23" s="49"/>
      <c r="G23" s="34"/>
      <c r="H23" s="50"/>
    </row>
    <row r="24" spans="1:14" ht="18.75" x14ac:dyDescent="0.3">
      <c r="B24" s="32"/>
      <c r="C24" s="32"/>
      <c r="D24" s="49"/>
      <c r="E24" s="49"/>
      <c r="F24" s="49"/>
      <c r="G24" s="34"/>
      <c r="H24" s="32"/>
    </row>
    <row r="25" spans="1:14" ht="18.75" x14ac:dyDescent="0.3">
      <c r="B25" s="32"/>
      <c r="C25" s="32"/>
      <c r="D25" s="49"/>
      <c r="E25" s="49"/>
      <c r="F25" s="49"/>
      <c r="G25" s="34"/>
      <c r="H25" s="76"/>
    </row>
    <row r="26" spans="1:14" ht="18.75" hidden="1" x14ac:dyDescent="0.25">
      <c r="B26" s="32"/>
      <c r="C26" s="107" t="s">
        <v>5</v>
      </c>
      <c r="D26" s="107"/>
      <c r="E26" s="107"/>
      <c r="F26" s="107"/>
      <c r="G26" s="107"/>
      <c r="H26" s="107"/>
    </row>
    <row r="27" spans="1:14" ht="18.75" x14ac:dyDescent="0.25">
      <c r="A27" s="105" t="s">
        <v>3</v>
      </c>
      <c r="B27" s="105"/>
      <c r="C27" s="105"/>
      <c r="D27" s="105"/>
      <c r="E27" s="105"/>
      <c r="F27" s="105"/>
      <c r="G27" s="105"/>
      <c r="H27" s="105"/>
      <c r="I27" s="105"/>
    </row>
    <row r="28" spans="1:14" ht="18.75" x14ac:dyDescent="0.25">
      <c r="A28" s="108" t="s">
        <v>4</v>
      </c>
      <c r="B28" s="108"/>
      <c r="C28" s="108"/>
      <c r="D28" s="108"/>
      <c r="E28" s="108"/>
      <c r="F28" s="108"/>
      <c r="G28" s="108"/>
      <c r="H28" s="108"/>
      <c r="I28" s="108"/>
    </row>
    <row r="29" spans="1:14" ht="18.75" hidden="1" x14ac:dyDescent="0.3">
      <c r="B29" s="32"/>
      <c r="C29" s="107" t="s">
        <v>74</v>
      </c>
      <c r="D29" s="107"/>
      <c r="E29" s="49"/>
      <c r="F29" s="49"/>
      <c r="G29" s="107" t="s">
        <v>75</v>
      </c>
      <c r="H29" s="107"/>
    </row>
    <row r="30" spans="1:14" ht="18.75" x14ac:dyDescent="0.3">
      <c r="B30" s="32"/>
      <c r="C30" s="32"/>
      <c r="D30" s="49"/>
      <c r="E30" s="49"/>
      <c r="F30" s="49"/>
      <c r="G30" s="32"/>
      <c r="H30" s="32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CE2A-BA4F-435E-ABF3-1BB0737396C4}">
  <sheetPr filterMode="1"/>
  <dimension ref="A1:N48"/>
  <sheetViews>
    <sheetView view="pageBreakPreview" topLeftCell="C11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11" t="str">
        <f>'[5] ERF-Rendimiento Financiero'!C3</f>
        <v>Estado de Rendimiento Financiero</v>
      </c>
      <c r="D1" s="111"/>
      <c r="E1" s="111"/>
      <c r="F1" s="111"/>
      <c r="G1" s="111"/>
      <c r="H1" s="111"/>
    </row>
    <row r="2" spans="1:13" ht="15" customHeight="1" x14ac:dyDescent="0.25">
      <c r="C2" s="109" t="s">
        <v>59</v>
      </c>
      <c r="D2" s="109"/>
      <c r="E2" s="109"/>
      <c r="F2" s="109"/>
      <c r="G2" s="109"/>
      <c r="H2" s="29"/>
    </row>
    <row r="3" spans="1:13" ht="15" customHeight="1" x14ac:dyDescent="0.25">
      <c r="C3" s="109" t="str">
        <f>'[5] ERF-Rendimiento Financiero'!C5</f>
        <v>(Valores en RD$)</v>
      </c>
      <c r="D3" s="109"/>
      <c r="E3" s="109"/>
      <c r="F3" s="109"/>
      <c r="G3" s="109"/>
      <c r="H3" s="109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+'[1]ESF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-SUMIF('[1]BC Balance Comprobación'!A:A,' ERF-Rendimiento Financiero'!A7,'[1]BC Balance Comprobación'!D:D)</f>
        <v>#VALUE!</v>
      </c>
      <c r="G7" s="9"/>
      <c r="H7" s="9" t="e">
        <f>-SUMIF('[1]BC Balance Comprobación'!A:A,' ERF-Rendimiento Financiero'!A7,'[1]BC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-'[2]BC Balance Comprobación'!D39</f>
        <v>2985000</v>
      </c>
      <c r="G8" s="6"/>
      <c r="H8" s="6" t="e">
        <f>-SUMIF('[1]BC Balance Comprobación'!A:A,' ERF-Rendimiento Financiero'!A8,'[1]BC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-'[2]BC Balance Comprobación'!D40</f>
        <v>13911470.52</v>
      </c>
      <c r="G9" s="6"/>
      <c r="H9" s="6" t="e">
        <f>-SUMIF('[1]BC Balance Comprobación'!A:A,' ERF-Rendimiento Financiero'!A9,'[1]BC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-'[2]BC Balance Comprobación'!D42</f>
        <v>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-'[2]BC Balance Comprobación'!D41</f>
        <v>0</v>
      </c>
      <c r="G11" s="6"/>
      <c r="H11" s="14" t="e">
        <f>-SUMIF('[1]BC Balance Comprobación'!A:A,' ERF-Rendimiento Financiero'!A11,'[1]BC Balance Comprobación'!F:F)</f>
        <v>#VALUE!</v>
      </c>
      <c r="K11" s="9" t="e">
        <f>+F11+H11</f>
        <v>#VALUE!</v>
      </c>
    </row>
    <row r="12" spans="1:13" ht="15.75" x14ac:dyDescent="0.25">
      <c r="C12" s="29" t="s">
        <v>86</v>
      </c>
      <c r="D12" s="29"/>
      <c r="E12" s="29"/>
      <c r="F12" s="19">
        <f>+F8+F9+F10+F11</f>
        <v>16896470.52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29" t="s">
        <v>87</v>
      </c>
      <c r="D14" s="29"/>
      <c r="E14" s="29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+'[2]BC Balance Comprobación'!D47+'[2]BC Balance Comprobación'!D48+'[2]BC Balance Comprobación'!D49+'[2]BC Balance Comprobación'!D55+'[2]BC Balance Comprobación'!D56+'[2]BC Balance Comprobación'!D61+'[2]BC Balance Comprobación'!D62+'[2]BC Balance Comprobación'!D63</f>
        <v>10376953.540000001</v>
      </c>
      <c r="G15" s="6"/>
      <c r="H15" s="6" t="e">
        <f>SUMIF('[1]BC Balance Comprobación'!A:A,' ERF-Rendimiento Financiero'!A15,'[1]BC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+'[2]BC Balance Comprobación'!D66</f>
        <v>2735257.5639999998</v>
      </c>
      <c r="G16" s="9"/>
      <c r="H16" s="9" t="e">
        <f>SUMIF('[1]BC Balance Comprobación'!A:A,' ERF-Rendimiento Financiero'!A16,'[1]BC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+'[2]BC Balance Comprobación'!D110+'[2]BC Balance Comprobación'!D111+'[2]BC Balance Comprobación'!D112+'[2]BC Balance Comprobación'!D113+'[2]BC Balance Comprobación'!D114+'[2]BC Balance Comprobación'!D115+'[2]BC Balance Comprobación'!D117+'[2]BC Balance Comprobación'!D118+'[2]BC Balance Comprobación'!D119+'[2]BC Balance Comprobación'!D120+'[2]BC Balance Comprobación'!D122+'[2]BC Balance Comprobación'!D123+'[2]BC Balance Comprobación'!D124+'[2]BC Balance Comprobación'!D125+'[2]BC Balance Comprobación'!D126+'[2]BC Balance Comprobación'!D128+'[2]BC Balance Comprobación'!D129+'[2]BC Balance Comprobación'!D130+'[2]BC Balance Comprobación'!D131+'[2]BC Balance Comprobación'!D132+'[2]BC Balance Comprobación'!D133+'[2]BC Balance Comprobación'!D134+'[2]BC Balance Comprobación'!D135+'[2]BC Balance Comprobación'!D136+'[2]BC Balance Comprobación'!D138+'[2]BC Balance Comprobación'!D139+'[2]BC Balance Comprobación'!D140+'[2]BC Balance Comprobación'!D141+'[2]BC Balance Comprobación'!D143+'[2]BC Balance Comprobación'!D144+'[2]BC Balance Comprobación'!D146+'[2]BC Balance Comprobación'!D147+'[2]BC Balance Comprobación'!D148+'[2]BC Balance Comprobación'!D149+'[2]BC Balance Comprobación'!D150+'[2]BC Balance Comprobación'!D151+'[2]BC Balance Comprobación'!D152+'[2]BC Balance Comprobación'!D153+'[2]BC Balance Comprobación'!D154+'[2]BC Balance Comprobación'!D155+'[2]BC Balance Comprobación'!D156+'[2]BC Balance Comprobación'!D157+'[2]BC Balance Comprobación'!D158</f>
        <v>1691090.46</v>
      </c>
      <c r="G17" s="6"/>
      <c r="H17" s="6" t="e">
        <f>SUMIF('[1]BC Balance Comprobación'!A:A,' ERF-Rendimiento Financiero'!A17,'[1]BC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+'[2]BC Balance Comprobación'!D165</f>
        <v>107412.33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'[2]BC Balance Comprobación'!D166</f>
        <v>1718224.43</v>
      </c>
      <c r="G19" s="6"/>
      <c r="H19" s="6" t="e">
        <f>SUMIF('[1]BC Balance Comprobación'!A:A,' ERF-Rendimiento Financiero'!A19,'[1]BC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SUMIF('[1]BC Balance Comprobación'!A:A,' ERF-Rendimiento Financiero'!A20,'[1]BC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'[1]BC Balance Comprobación'!D153</f>
        <v>0</v>
      </c>
      <c r="G21" s="6"/>
      <c r="H21" s="14" t="e">
        <f>SUMIF('[1]BC Balance Comprobación'!A:A,' ERF-Rendimiento Financiero'!A21,'[1]BC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SUMIF('[1]BC Balance Comprobación'!A:A,' ERF-Rendimiento Financiero'!A22,'[1]BC Balance Comprobación'!D:D)</f>
        <v>#VALUE!</v>
      </c>
      <c r="G22" s="9"/>
      <c r="H22" s="9" t="e">
        <f>SUMIF('[1]BC Balance Comprobación'!A:A,' ERF-Rendimiento Financiero'!A22,'[1]BC Balance Comprobación'!F:F)</f>
        <v>#VALUE!</v>
      </c>
      <c r="K22" s="9" t="e">
        <f t="shared" si="0"/>
        <v>#VALUE!</v>
      </c>
    </row>
    <row r="23" spans="1:14" ht="15.75" x14ac:dyDescent="0.25">
      <c r="C23" s="29" t="s">
        <v>103</v>
      </c>
      <c r="D23" s="29"/>
      <c r="E23" s="29"/>
      <c r="F23" s="8">
        <f>+F15+F16+F17+F18+F19</f>
        <v>16628938.323999999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267532.19600000046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12"/>
      <c r="D36" s="112"/>
      <c r="E36" s="112"/>
      <c r="F36" s="112"/>
      <c r="G36" s="112"/>
      <c r="H36" s="112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0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0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3" t="s">
        <v>5</v>
      </c>
      <c r="D43" s="103"/>
      <c r="E43" s="103"/>
      <c r="F43" s="103"/>
      <c r="G43" s="103"/>
      <c r="H43" s="103"/>
    </row>
    <row r="44" spans="1:11" ht="18.75" hidden="1" x14ac:dyDescent="0.25">
      <c r="C44" s="31"/>
      <c r="D44" s="31"/>
      <c r="E44" s="31"/>
      <c r="F44" s="31"/>
      <c r="G44" s="31"/>
      <c r="H44" s="31"/>
    </row>
    <row r="45" spans="1:11" ht="18.75" hidden="1" x14ac:dyDescent="0.25">
      <c r="C45" s="32"/>
      <c r="D45" s="32"/>
      <c r="E45" s="32"/>
      <c r="F45" s="32"/>
      <c r="G45" s="32"/>
      <c r="H45" s="32"/>
    </row>
    <row r="46" spans="1:11" ht="15.75" hidden="1" customHeight="1" x14ac:dyDescent="0.3">
      <c r="C46" s="103"/>
      <c r="D46" s="103"/>
      <c r="E46" s="103"/>
      <c r="F46" s="103"/>
      <c r="G46" s="103"/>
      <c r="H46" s="102"/>
    </row>
    <row r="47" spans="1:11" ht="18.75" x14ac:dyDescent="0.25">
      <c r="C47" s="109" t="s">
        <v>3</v>
      </c>
      <c r="D47" s="109"/>
      <c r="E47" s="109"/>
      <c r="F47" s="109"/>
      <c r="G47" s="29"/>
      <c r="H47" s="32"/>
    </row>
    <row r="48" spans="1:11" x14ac:dyDescent="0.25">
      <c r="C48" s="110" t="s">
        <v>4</v>
      </c>
      <c r="D48" s="110"/>
      <c r="E48" s="110"/>
      <c r="F48" s="11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EFE-Flujo de Efectivo</vt:lpstr>
      <vt:lpstr>ECANP-Cambio Patrimonio</vt:lpstr>
      <vt:lpstr> ERF-Rendimiento Financiero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2023-07-14T18:08:28Z</dcterms:created>
  <dcterms:modified xsi:type="dcterms:W3CDTF">2023-07-17T13:11:32Z</dcterms:modified>
</cp:coreProperties>
</file>